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Gina - work\"/>
    </mc:Choice>
  </mc:AlternateContent>
  <xr:revisionPtr revIDLastSave="0" documentId="13_ncr:1_{C658851B-9C21-4B54-A2FD-3AF26507BB29}" xr6:coauthVersionLast="45" xr6:coauthVersionMax="45" xr10:uidLastSave="{00000000-0000-0000-0000-000000000000}"/>
  <bookViews>
    <workbookView xWindow="-98" yWindow="-98" windowWidth="20715" windowHeight="13276" tabRatio="610" firstSheet="1" activeTab="2" xr2:uid="{00000000-000D-0000-FFFF-FFFF00000000}"/>
  </bookViews>
  <sheets>
    <sheet name="Property Information" sheetId="1" r:id="rId1"/>
    <sheet name="Construction Breakdown" sheetId="2" r:id="rId2"/>
    <sheet name="Sources &amp; Uses" sheetId="5" r:id="rId3"/>
    <sheet name="Development Costs" sheetId="7" r:id="rId4"/>
    <sheet name="Financing" sheetId="3" r:id="rId5"/>
    <sheet name="Historic Tax Credit" sheetId="8" r:id="rId6"/>
    <sheet name="Income &amp; Expenses" sheetId="4" r:id="rId7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8" l="1"/>
  <c r="C16" i="3" l="1"/>
  <c r="C17" i="3" s="1"/>
  <c r="G19" i="4" s="1"/>
  <c r="C15" i="3"/>
  <c r="F3" i="5" l="1"/>
  <c r="B14" i="1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" i="2"/>
  <c r="B55" i="2"/>
  <c r="D4" i="8" s="1"/>
  <c r="D55" i="2" l="1"/>
  <c r="C2" i="7"/>
  <c r="C12" i="7"/>
  <c r="F5" i="5" s="1"/>
  <c r="B10" i="1" l="1"/>
  <c r="E15" i="4" l="1"/>
  <c r="G15" i="4"/>
  <c r="C20" i="4"/>
  <c r="C7" i="4" l="1"/>
  <c r="G1" i="4" s="1"/>
  <c r="G2" i="4" s="1"/>
  <c r="G3" i="4" s="1"/>
  <c r="C5" i="3"/>
  <c r="A2" i="4"/>
  <c r="A1" i="4"/>
  <c r="A2" i="3"/>
  <c r="A1" i="3"/>
  <c r="A2" i="2"/>
  <c r="A1" i="2"/>
  <c r="G12" i="4"/>
  <c r="G13" i="4"/>
  <c r="G14" i="4"/>
  <c r="E12" i="4"/>
  <c r="E13" i="4"/>
  <c r="E14" i="4"/>
  <c r="G10" i="4"/>
  <c r="G8" i="4"/>
  <c r="G9" i="4"/>
  <c r="G11" i="4"/>
  <c r="G6" i="4"/>
  <c r="E7" i="4"/>
  <c r="E8" i="4"/>
  <c r="E9" i="4"/>
  <c r="E10" i="4"/>
  <c r="E11" i="4"/>
  <c r="E6" i="4"/>
  <c r="C6" i="3"/>
  <c r="G16" i="4" l="1"/>
  <c r="G18" i="4" s="1"/>
  <c r="B56" i="2"/>
  <c r="B57" i="2" l="1"/>
  <c r="D6" i="8"/>
  <c r="C3" i="7" l="1"/>
  <c r="F4" i="5"/>
  <c r="B58" i="2"/>
  <c r="G21" i="4"/>
  <c r="C18" i="3"/>
  <c r="C9" i="3"/>
  <c r="C10" i="3"/>
  <c r="C11" i="3"/>
  <c r="D5" i="8"/>
  <c r="E5" i="8"/>
  <c r="E6" i="8"/>
  <c r="D8" i="8"/>
  <c r="E8" i="8"/>
  <c r="D9" i="8"/>
  <c r="E9" i="8"/>
  <c r="D13" i="8"/>
  <c r="E13" i="8"/>
  <c r="D16" i="8"/>
  <c r="E16" i="8"/>
  <c r="C4" i="5"/>
  <c r="C5" i="5"/>
  <c r="C6" i="5"/>
  <c r="F6" i="5"/>
  <c r="F8" i="5"/>
  <c r="F11" i="5"/>
  <c r="F12" i="5"/>
  <c r="F13" i="5"/>
  <c r="E15" i="5"/>
</calcChain>
</file>

<file path=xl/sharedStrings.xml><?xml version="1.0" encoding="utf-8"?>
<sst xmlns="http://schemas.openxmlformats.org/spreadsheetml/2006/main" count="216" uniqueCount="155">
  <si>
    <t>Listing Price</t>
  </si>
  <si>
    <t>Purchase Date</t>
  </si>
  <si>
    <t>Purchase Price</t>
  </si>
  <si>
    <t>Property Square Footage</t>
  </si>
  <si>
    <t>Condition</t>
  </si>
  <si>
    <t>Poor</t>
  </si>
  <si>
    <t>Purchase Price Per Square Foot</t>
  </si>
  <si>
    <t>Appraised Value</t>
  </si>
  <si>
    <t>Subject To Value</t>
  </si>
  <si>
    <t>Subject to Value/SF</t>
  </si>
  <si>
    <t>Description of Work</t>
  </si>
  <si>
    <t>Cost</t>
  </si>
  <si>
    <t>Total</t>
  </si>
  <si>
    <t>Porch Leveling</t>
  </si>
  <si>
    <t>Cost of Repairs</t>
  </si>
  <si>
    <t>Interest Rate</t>
  </si>
  <si>
    <t>Term</t>
  </si>
  <si>
    <t>Amortization</t>
  </si>
  <si>
    <t>Interest Only</t>
  </si>
  <si>
    <t>Renovation Cost Per Square Foot</t>
  </si>
  <si>
    <t>As is Appraisal</t>
  </si>
  <si>
    <t>Subject to Appraisal</t>
  </si>
  <si>
    <t>Taxes</t>
  </si>
  <si>
    <t>Permanent Mortgage</t>
  </si>
  <si>
    <t>Hazard Insurance</t>
  </si>
  <si>
    <t>Flood Insurance</t>
  </si>
  <si>
    <t>Appraisal Values</t>
  </si>
  <si>
    <t>Permanent Loan Terms</t>
  </si>
  <si>
    <t>Construction Loan Payment</t>
  </si>
  <si>
    <t>Loan Amount</t>
  </si>
  <si>
    <t>Monthly Payment</t>
  </si>
  <si>
    <t>Projected Rent</t>
  </si>
  <si>
    <t>Repairs &amp; Maintenance</t>
  </si>
  <si>
    <t>Water</t>
  </si>
  <si>
    <t>Gas</t>
  </si>
  <si>
    <t>Electric</t>
  </si>
  <si>
    <t>Lawn Care</t>
  </si>
  <si>
    <t>Extermination</t>
  </si>
  <si>
    <t>Expenses</t>
  </si>
  <si>
    <t>Annual</t>
  </si>
  <si>
    <t>Operating Expenses (OpEx)</t>
  </si>
  <si>
    <t>Gross Income</t>
  </si>
  <si>
    <t>Vacancy Rate</t>
  </si>
  <si>
    <t>Effective Gross Income (EGI)</t>
  </si>
  <si>
    <t>OpEx</t>
  </si>
  <si>
    <t>Total OpEx</t>
  </si>
  <si>
    <t>Net Operating Income</t>
  </si>
  <si>
    <t>Debt Service</t>
  </si>
  <si>
    <t>Pre Tax Cash Flow</t>
  </si>
  <si>
    <t>Property Taxes</t>
  </si>
  <si>
    <t>Title &amp; Recording Fees</t>
  </si>
  <si>
    <t>Appraisal 1</t>
  </si>
  <si>
    <t>Appraisal 2</t>
  </si>
  <si>
    <t>Sources</t>
  </si>
  <si>
    <t>Uses</t>
  </si>
  <si>
    <t>Equity</t>
  </si>
  <si>
    <t>Debt</t>
  </si>
  <si>
    <t>Acquisition</t>
  </si>
  <si>
    <t>Construction</t>
  </si>
  <si>
    <t>Contingency</t>
  </si>
  <si>
    <t>Total Renovation Cost</t>
  </si>
  <si>
    <t>Closing Costs</t>
  </si>
  <si>
    <t>Sources &amp; Uses Difference</t>
  </si>
  <si>
    <t>Interest Payments</t>
  </si>
  <si>
    <t>Estimated Construction Schedule</t>
  </si>
  <si>
    <t>Months</t>
  </si>
  <si>
    <t>Loan to Cost (LTC)</t>
  </si>
  <si>
    <t>Construction to Permanent Loan Terms</t>
  </si>
  <si>
    <t>Maximum Loan Amount</t>
  </si>
  <si>
    <t>Maximum Term</t>
  </si>
  <si>
    <t>Actual Loan Amount</t>
  </si>
  <si>
    <t>Capital Expense Reserve</t>
  </si>
  <si>
    <t>Street Address</t>
  </si>
  <si>
    <t>City, State, and Zip Code</t>
  </si>
  <si>
    <t>Builder's Risk Insurance</t>
  </si>
  <si>
    <t>Origination Fee Construction Loan</t>
  </si>
  <si>
    <t>Origination Fee Permanent Loan</t>
  </si>
  <si>
    <t>Acquisition Cost</t>
  </si>
  <si>
    <t>Loan Origination Fee</t>
  </si>
  <si>
    <t>Closing Costs (Soft Costs)</t>
  </si>
  <si>
    <t>Maximum LTV (Post Construction Actual Value)</t>
  </si>
  <si>
    <t xml:space="preserve">Demo </t>
  </si>
  <si>
    <t>Dumpsters</t>
  </si>
  <si>
    <t>Foundation</t>
  </si>
  <si>
    <t>Termite</t>
  </si>
  <si>
    <t>Roof material</t>
  </si>
  <si>
    <t>Roof labor</t>
  </si>
  <si>
    <t>Framing</t>
  </si>
  <si>
    <t>Exterior steps</t>
  </si>
  <si>
    <t>Gutters</t>
  </si>
  <si>
    <t>HVAC</t>
  </si>
  <si>
    <t>Plumbing fixtures</t>
  </si>
  <si>
    <t>Plumbing</t>
  </si>
  <si>
    <t>Electrical fixtures</t>
  </si>
  <si>
    <t>Electrical</t>
  </si>
  <si>
    <t>Insulation material and labor</t>
  </si>
  <si>
    <t>Drywall material</t>
  </si>
  <si>
    <t>Drywall labor</t>
  </si>
  <si>
    <t>Int Doors Material</t>
  </si>
  <si>
    <t>Int Doors Labor</t>
  </si>
  <si>
    <t>Exterior Doors Material</t>
  </si>
  <si>
    <t>Exterior Doors Labor</t>
  </si>
  <si>
    <t>Door hardware</t>
  </si>
  <si>
    <t>Windows material</t>
  </si>
  <si>
    <t>Window Labor</t>
  </si>
  <si>
    <t>Interior stairs</t>
  </si>
  <si>
    <t>Trim</t>
  </si>
  <si>
    <t>Int paint materials</t>
  </si>
  <si>
    <t>Int Paint labor</t>
  </si>
  <si>
    <t>Ext paint materials</t>
  </si>
  <si>
    <t>Ext Paint labor</t>
  </si>
  <si>
    <t>Siding materials</t>
  </si>
  <si>
    <t>Siding labor</t>
  </si>
  <si>
    <t>Porches/Decks</t>
  </si>
  <si>
    <t>Tile materials</t>
  </si>
  <si>
    <t>Tile labor</t>
  </si>
  <si>
    <t>Hardwood Materials</t>
  </si>
  <si>
    <t>Hardwood install labor</t>
  </si>
  <si>
    <t>Hardwood finishing labor</t>
  </si>
  <si>
    <t>Cabinets</t>
  </si>
  <si>
    <t>Cabinet labor</t>
  </si>
  <si>
    <t>Countertop</t>
  </si>
  <si>
    <t>Appliances</t>
  </si>
  <si>
    <t>Landscaping</t>
  </si>
  <si>
    <t>Driveways/Sidewalks</t>
  </si>
  <si>
    <t>Closet shelving</t>
  </si>
  <si>
    <t>Punch out</t>
  </si>
  <si>
    <t>General Labor</t>
  </si>
  <si>
    <t>Cleaning</t>
  </si>
  <si>
    <t>Permits</t>
  </si>
  <si>
    <t>State Historic Tax Credit Equity</t>
  </si>
  <si>
    <t>QRE Eligible</t>
  </si>
  <si>
    <t>Y</t>
  </si>
  <si>
    <t>N</t>
  </si>
  <si>
    <t>QRE</t>
  </si>
  <si>
    <t>Basis</t>
  </si>
  <si>
    <t>Soft costs</t>
  </si>
  <si>
    <t>Developer fee</t>
  </si>
  <si>
    <t xml:space="preserve">   Basis</t>
  </si>
  <si>
    <t>Historic tax credit equity</t>
  </si>
  <si>
    <t xml:space="preserve">Louisiana </t>
  </si>
  <si>
    <t>Federal</t>
  </si>
  <si>
    <t>Credit rate</t>
  </si>
  <si>
    <t>Tax credits</t>
  </si>
  <si>
    <t>Investor portion</t>
  </si>
  <si>
    <t>Price</t>
  </si>
  <si>
    <t xml:space="preserve">   Tax-credit equity</t>
  </si>
  <si>
    <t>Historic Tax Credit</t>
  </si>
  <si>
    <t>Permitting</t>
  </si>
  <si>
    <t>Design Fees</t>
  </si>
  <si>
    <t>Developer Fee</t>
  </si>
  <si>
    <t>Unit A</t>
  </si>
  <si>
    <t>Unit B</t>
  </si>
  <si>
    <t>New Orleans, LA 70119</t>
  </si>
  <si>
    <t>May need that cash up front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</si>
</sst>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General\ &quot;sf&quot;"/>
    <numFmt numFmtId="166" formatCode="General\ &quot;Months&quot;"/>
    <numFmt numFmtId="167" formatCode="General\ &quot;Yrs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2" fillId="0" borderId="0" xfId="0" applyFont="1"/>
    <xf numFmtId="164" fontId="2" fillId="0" borderId="0" xfId="1" applyNumberFormat="1" applyFont="1"/>
    <xf numFmtId="44" fontId="0" fillId="0" borderId="0" xfId="0" applyNumberFormat="1"/>
    <xf numFmtId="164" fontId="2" fillId="0" borderId="0" xfId="0" applyNumberFormat="1" applyFont="1"/>
    <xf numFmtId="0" fontId="0" fillId="0" borderId="1" xfId="0" applyBorder="1"/>
    <xf numFmtId="0" fontId="2" fillId="3" borderId="1" xfId="0" applyFont="1" applyFill="1" applyBorder="1"/>
    <xf numFmtId="164" fontId="0" fillId="0" borderId="1" xfId="1" applyNumberFormat="1" applyFont="1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2" fillId="3" borderId="11" xfId="0" applyFont="1" applyFill="1" applyBorder="1"/>
    <xf numFmtId="0" fontId="0" fillId="3" borderId="12" xfId="0" applyFill="1" applyBorder="1"/>
    <xf numFmtId="0" fontId="0" fillId="0" borderId="8" xfId="0" applyBorder="1"/>
    <xf numFmtId="0" fontId="2" fillId="3" borderId="12" xfId="0" applyFont="1" applyFill="1" applyBorder="1"/>
    <xf numFmtId="0" fontId="0" fillId="0" borderId="13" xfId="0" applyBorder="1"/>
    <xf numFmtId="0" fontId="0" fillId="0" borderId="3" xfId="0" applyBorder="1"/>
    <xf numFmtId="0" fontId="0" fillId="3" borderId="11" xfId="0" applyFill="1" applyBorder="1"/>
    <xf numFmtId="0" fontId="0" fillId="3" borderId="15" xfId="0" applyFill="1" applyBorder="1"/>
    <xf numFmtId="0" fontId="3" fillId="2" borderId="10" xfId="0" applyFont="1" applyFill="1" applyBorder="1"/>
    <xf numFmtId="0" fontId="3" fillId="2" borderId="6" xfId="0" applyFont="1" applyFill="1" applyBorder="1"/>
    <xf numFmtId="9" fontId="3" fillId="2" borderId="0" xfId="0" applyNumberFormat="1" applyFont="1" applyFill="1"/>
    <xf numFmtId="164" fontId="2" fillId="0" borderId="17" xfId="0" applyNumberFormat="1" applyFont="1" applyBorder="1"/>
    <xf numFmtId="164" fontId="3" fillId="2" borderId="6" xfId="1" applyNumberFormat="1" applyFont="1" applyFill="1" applyBorder="1"/>
    <xf numFmtId="10" fontId="3" fillId="2" borderId="10" xfId="0" applyNumberFormat="1" applyFont="1" applyFill="1" applyBorder="1"/>
    <xf numFmtId="9" fontId="3" fillId="2" borderId="6" xfId="0" applyNumberFormat="1" applyFont="1" applyFill="1" applyBorder="1"/>
    <xf numFmtId="166" fontId="3" fillId="2" borderId="6" xfId="0" applyNumberFormat="1" applyFont="1" applyFill="1" applyBorder="1"/>
    <xf numFmtId="167" fontId="3" fillId="2" borderId="8" xfId="0" applyNumberFormat="1" applyFont="1" applyFill="1" applyBorder="1"/>
    <xf numFmtId="164" fontId="3" fillId="2" borderId="0" xfId="1" applyNumberFormat="1" applyFont="1" applyFill="1"/>
    <xf numFmtId="164" fontId="3" fillId="2" borderId="0" xfId="0" applyNumberFormat="1" applyFont="1" applyFill="1"/>
    <xf numFmtId="164" fontId="3" fillId="2" borderId="10" xfId="1" applyNumberFormat="1" applyFont="1" applyFill="1" applyBorder="1"/>
    <xf numFmtId="0" fontId="0" fillId="0" borderId="19" xfId="0" applyBorder="1"/>
    <xf numFmtId="0" fontId="0" fillId="0" borderId="21" xfId="0" applyBorder="1"/>
    <xf numFmtId="0" fontId="0" fillId="0" borderId="21" xfId="0" applyFill="1" applyBorder="1"/>
    <xf numFmtId="0" fontId="0" fillId="0" borderId="16" xfId="0" applyBorder="1"/>
    <xf numFmtId="0" fontId="2" fillId="0" borderId="11" xfId="0" applyFont="1" applyBorder="1"/>
    <xf numFmtId="164" fontId="2" fillId="0" borderId="12" xfId="0" applyNumberFormat="1" applyFont="1" applyBorder="1"/>
    <xf numFmtId="164" fontId="4" fillId="0" borderId="6" xfId="1" applyNumberFormat="1" applyFont="1" applyFill="1" applyBorder="1"/>
    <xf numFmtId="164" fontId="5" fillId="0" borderId="17" xfId="0" applyNumberFormat="1" applyFont="1" applyBorder="1"/>
    <xf numFmtId="0" fontId="5" fillId="0" borderId="0" xfId="0" applyFont="1"/>
    <xf numFmtId="0" fontId="0" fillId="0" borderId="18" xfId="0" applyBorder="1"/>
    <xf numFmtId="0" fontId="2" fillId="0" borderId="2" xfId="0" applyFont="1" applyBorder="1"/>
    <xf numFmtId="164" fontId="2" fillId="0" borderId="2" xfId="0" applyNumberFormat="1" applyFont="1" applyBorder="1"/>
    <xf numFmtId="0" fontId="2" fillId="3" borderId="2" xfId="0" applyFont="1" applyFill="1" applyBorder="1"/>
    <xf numFmtId="0" fontId="0" fillId="3" borderId="2" xfId="0" applyFill="1" applyBorder="1"/>
    <xf numFmtId="164" fontId="3" fillId="2" borderId="14" xfId="1" applyNumberFormat="1" applyFont="1" applyFill="1" applyBorder="1"/>
    <xf numFmtId="0" fontId="5" fillId="0" borderId="1" xfId="0" applyFont="1" applyBorder="1"/>
    <xf numFmtId="164" fontId="5" fillId="0" borderId="1" xfId="0" applyNumberFormat="1" applyFont="1" applyBorder="1"/>
    <xf numFmtId="0" fontId="3" fillId="2" borderId="0" xfId="0" applyFont="1" applyFill="1"/>
    <xf numFmtId="164" fontId="4" fillId="0" borderId="10" xfId="1" applyNumberFormat="1" applyFont="1" applyFill="1" applyBorder="1"/>
    <xf numFmtId="164" fontId="0" fillId="0" borderId="4" xfId="1" applyNumberFormat="1" applyFont="1" applyBorder="1"/>
    <xf numFmtId="164" fontId="0" fillId="0" borderId="20" xfId="0" applyNumberFormat="1" applyBorder="1"/>
    <xf numFmtId="0" fontId="0" fillId="0" borderId="23" xfId="0" applyFill="1" applyBorder="1"/>
    <xf numFmtId="164" fontId="3" fillId="2" borderId="24" xfId="1" applyNumberFormat="1" applyFont="1" applyFill="1" applyBorder="1"/>
    <xf numFmtId="0" fontId="0" fillId="0" borderId="5" xfId="0" applyFill="1" applyBorder="1"/>
    <xf numFmtId="164" fontId="0" fillId="2" borderId="1" xfId="1" applyNumberFormat="1" applyFont="1" applyFill="1" applyBorder="1"/>
    <xf numFmtId="165" fontId="0" fillId="0" borderId="0" xfId="0" applyNumberFormat="1"/>
    <xf numFmtId="44" fontId="0" fillId="0" borderId="0" xfId="1" applyFont="1"/>
    <xf numFmtId="165" fontId="3" fillId="4" borderId="0" xfId="0" applyNumberFormat="1" applyFont="1" applyFill="1"/>
    <xf numFmtId="14" fontId="3" fillId="4" borderId="0" xfId="0" applyNumberFormat="1" applyFont="1" applyFill="1"/>
    <xf numFmtId="164" fontId="0" fillId="4" borderId="2" xfId="1" applyNumberFormat="1" applyFont="1" applyFill="1" applyBorder="1"/>
    <xf numFmtId="0" fontId="0" fillId="0" borderId="25" xfId="0" applyBorder="1"/>
    <xf numFmtId="164" fontId="4" fillId="2" borderId="6" xfId="1" applyNumberFormat="1" applyFont="1" applyFill="1" applyBorder="1"/>
    <xf numFmtId="0" fontId="0" fillId="0" borderId="26" xfId="0" applyBorder="1"/>
    <xf numFmtId="0" fontId="0" fillId="0" borderId="27" xfId="0" applyFill="1" applyBorder="1"/>
    <xf numFmtId="0" fontId="0" fillId="0" borderId="28" xfId="0" applyFill="1" applyBorder="1"/>
    <xf numFmtId="164" fontId="0" fillId="2" borderId="31" xfId="1" applyNumberFormat="1" applyFont="1" applyFill="1" applyBorder="1"/>
    <xf numFmtId="0" fontId="0" fillId="0" borderId="13" xfId="0" applyFill="1" applyBorder="1"/>
    <xf numFmtId="0" fontId="0" fillId="0" borderId="9" xfId="0" applyFill="1" applyBorder="1"/>
    <xf numFmtId="0" fontId="0" fillId="0" borderId="24" xfId="0" applyBorder="1"/>
    <xf numFmtId="0" fontId="2" fillId="3" borderId="23" xfId="0" applyFont="1" applyFill="1" applyBorder="1"/>
    <xf numFmtId="0" fontId="0" fillId="0" borderId="33" xfId="0" applyBorder="1"/>
    <xf numFmtId="0" fontId="5" fillId="0" borderId="13" xfId="0" applyFont="1" applyBorder="1"/>
    <xf numFmtId="164" fontId="5" fillId="0" borderId="12" xfId="1" applyNumberFormat="1" applyFont="1" applyBorder="1"/>
    <xf numFmtId="164" fontId="0" fillId="2" borderId="27" xfId="0" applyNumberFormat="1" applyFill="1" applyBorder="1"/>
    <xf numFmtId="164" fontId="0" fillId="2" borderId="0" xfId="0" applyNumberFormat="1" applyFill="1"/>
    <xf numFmtId="0" fontId="6" fillId="0" borderId="0" xfId="0" applyFont="1" applyFill="1"/>
    <xf numFmtId="0" fontId="7" fillId="0" borderId="0" xfId="0" applyFont="1"/>
    <xf numFmtId="44" fontId="3" fillId="2" borderId="0" xfId="1" applyFont="1" applyFill="1"/>
    <xf numFmtId="9" fontId="0" fillId="2" borderId="0" xfId="0" applyNumberFormat="1" applyFill="1"/>
    <xf numFmtId="0" fontId="0" fillId="0" borderId="1" xfId="0" applyFill="1" applyBorder="1"/>
    <xf numFmtId="0" fontId="3" fillId="0" borderId="1" xfId="0" applyFont="1" applyFill="1" applyBorder="1"/>
    <xf numFmtId="0" fontId="0" fillId="3" borderId="1" xfId="0" applyFill="1" applyBorder="1"/>
    <xf numFmtId="0" fontId="4" fillId="0" borderId="1" xfId="0" applyFont="1" applyBorder="1"/>
    <xf numFmtId="0" fontId="4" fillId="0" borderId="1" xfId="0" applyFont="1" applyFill="1" applyBorder="1"/>
    <xf numFmtId="9" fontId="4" fillId="0" borderId="1" xfId="2" applyFont="1" applyBorder="1"/>
    <xf numFmtId="9" fontId="4" fillId="0" borderId="1" xfId="2" applyFont="1" applyFill="1" applyBorder="1"/>
    <xf numFmtId="0" fontId="4" fillId="0" borderId="1" xfId="0" applyFont="1" applyBorder="1" applyAlignment="1">
      <alignment horizontal="left"/>
    </xf>
    <xf numFmtId="44" fontId="0" fillId="0" borderId="1" xfId="1" applyFont="1" applyBorder="1"/>
    <xf numFmtId="44" fontId="3" fillId="0" borderId="1" xfId="1" applyFont="1" applyFill="1" applyBorder="1"/>
    <xf numFmtId="9" fontId="0" fillId="0" borderId="1" xfId="2" applyFont="1" applyFill="1" applyBorder="1"/>
    <xf numFmtId="44" fontId="0" fillId="2" borderId="1" xfId="1" applyFont="1" applyFill="1" applyBorder="1"/>
    <xf numFmtId="44" fontId="3" fillId="2" borderId="1" xfId="1" applyFont="1" applyFill="1" applyBorder="1"/>
    <xf numFmtId="44" fontId="0" fillId="0" borderId="1" xfId="1" applyFont="1" applyFill="1" applyBorder="1"/>
    <xf numFmtId="164" fontId="0" fillId="0" borderId="31" xfId="1" applyNumberFormat="1" applyFont="1" applyFill="1" applyBorder="1"/>
    <xf numFmtId="164" fontId="0" fillId="0" borderId="2" xfId="1" applyNumberFormat="1" applyFont="1" applyFill="1" applyBorder="1"/>
    <xf numFmtId="44" fontId="0" fillId="2" borderId="0" xfId="0" applyNumberFormat="1" applyFill="1"/>
    <xf numFmtId="44" fontId="8" fillId="2" borderId="0" xfId="0" applyNumberFormat="1" applyFont="1" applyFill="1"/>
    <xf numFmtId="164" fontId="0" fillId="0" borderId="29" xfId="1" applyNumberFormat="1" applyFont="1" applyFill="1" applyBorder="1"/>
    <xf numFmtId="164" fontId="0" fillId="0" borderId="30" xfId="1" applyNumberFormat="1" applyFont="1" applyFill="1" applyBorder="1"/>
    <xf numFmtId="164" fontId="0" fillId="0" borderId="6" xfId="1" applyNumberFormat="1" applyFont="1" applyFill="1" applyBorder="1"/>
    <xf numFmtId="164" fontId="0" fillId="0" borderId="10" xfId="0" applyNumberFormat="1" applyFill="1" applyBorder="1"/>
    <xf numFmtId="164" fontId="0" fillId="0" borderId="32" xfId="0" applyNumberFormat="1" applyFill="1" applyBorder="1"/>
    <xf numFmtId="44" fontId="2" fillId="0" borderId="17" xfId="1" applyFont="1" applyBorder="1"/>
    <xf numFmtId="44" fontId="0" fillId="2" borderId="6" xfId="1" applyFont="1" applyFill="1" applyBorder="1"/>
    <xf numFmtId="44" fontId="2" fillId="0" borderId="1" xfId="1" applyFont="1" applyBorder="1"/>
    <xf numFmtId="44" fontId="4" fillId="0" borderId="1" xfId="1" applyFont="1" applyBorder="1"/>
    <xf numFmtId="0" fontId="2" fillId="3" borderId="22" xfId="0" applyFont="1" applyFill="1" applyBorder="1" applyAlignment="1"/>
    <xf numFmtId="0" fontId="0" fillId="0" borderId="15" xfId="0" applyBorder="1" applyAlignment="1"/>
    <xf numFmtId="0" fontId="2" fillId="3" borderId="34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9" fontId="0" fillId="0" borderId="0" xfId="0" applyNumberFormat="1"/>
    <xf numFmtId="0" fontId="0" fillId="0" borderId="0" xfId="0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zoomScale="90" zoomScaleNormal="90" workbookViewId="0">
      <selection activeCell="F19" sqref="F19"/>
    </sheetView>
  </sheetViews>
  <sheetFormatPr defaultRowHeight="14.25" x14ac:dyDescent="0.45"/>
  <cols>
    <col min="1" max="1" width="26.33203125" customWidth="1"/>
    <col min="2" max="2" width="13.19921875" bestFit="1" customWidth="1"/>
    <col min="5" max="5" width="12.19921875" bestFit="1" customWidth="1"/>
  </cols>
  <sheetData>
    <row r="1" spans="1:5" x14ac:dyDescent="0.45">
      <c r="A1" s="78" t="s">
        <v>72</v>
      </c>
    </row>
    <row r="2" spans="1:5" x14ac:dyDescent="0.45">
      <c r="A2" s="78" t="s">
        <v>73</v>
      </c>
      <c r="B2" t="s">
        <v>153</v>
      </c>
    </row>
    <row r="4" spans="1:5" x14ac:dyDescent="0.45">
      <c r="A4" t="s">
        <v>3</v>
      </c>
      <c r="B4" s="60">
        <v>2000</v>
      </c>
      <c r="E4" s="58"/>
    </row>
    <row r="5" spans="1:5" x14ac:dyDescent="0.45">
      <c r="A5" t="s">
        <v>4</v>
      </c>
      <c r="B5" t="s">
        <v>5</v>
      </c>
    </row>
    <row r="7" spans="1:5" x14ac:dyDescent="0.45">
      <c r="A7" t="s">
        <v>1</v>
      </c>
      <c r="B7" s="61">
        <v>44112</v>
      </c>
    </row>
    <row r="8" spans="1:5" x14ac:dyDescent="0.45">
      <c r="A8" t="s">
        <v>0</v>
      </c>
      <c r="B8" s="30">
        <v>100000</v>
      </c>
    </row>
    <row r="9" spans="1:5" ht="14.65" thickBot="1" x14ac:dyDescent="0.5">
      <c r="A9" t="s">
        <v>2</v>
      </c>
      <c r="B9" s="30">
        <v>100000</v>
      </c>
      <c r="E9" s="59"/>
    </row>
    <row r="10" spans="1:5" ht="14.65" thickBot="1" x14ac:dyDescent="0.5">
      <c r="A10" t="s">
        <v>6</v>
      </c>
      <c r="B10" s="62">
        <f>B9/B4</f>
        <v>50</v>
      </c>
    </row>
    <row r="12" spans="1:5" x14ac:dyDescent="0.45">
      <c r="A12" t="s">
        <v>7</v>
      </c>
      <c r="B12" s="31">
        <v>700000</v>
      </c>
    </row>
    <row r="13" spans="1:5" ht="14.65" thickBot="1" x14ac:dyDescent="0.5">
      <c r="A13" t="s">
        <v>8</v>
      </c>
      <c r="B13" s="30">
        <v>700000</v>
      </c>
    </row>
    <row r="14" spans="1:5" ht="14.65" thickBot="1" x14ac:dyDescent="0.5">
      <c r="A14" t="s">
        <v>9</v>
      </c>
      <c r="B14" s="97">
        <f>B13/B4</f>
        <v>350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8"/>
  <sheetViews>
    <sheetView topLeftCell="A40" zoomScale="90" zoomScaleNormal="90" workbookViewId="0">
      <selection activeCell="C56" sqref="C56"/>
    </sheetView>
  </sheetViews>
  <sheetFormatPr defaultRowHeight="14.25" x14ac:dyDescent="0.45"/>
  <cols>
    <col min="1" max="1" width="34.53125" customWidth="1"/>
    <col min="2" max="2" width="17.6640625" customWidth="1"/>
    <col min="3" max="3" width="10.33203125" bestFit="1" customWidth="1"/>
    <col min="4" max="4" width="11.265625" bestFit="1" customWidth="1"/>
  </cols>
  <sheetData>
    <row r="1" spans="1:6" x14ac:dyDescent="0.45">
      <c r="A1" s="3" t="str">
        <f>'Property Information'!A1:A2</f>
        <v>Street Address</v>
      </c>
    </row>
    <row r="2" spans="1:6" x14ac:dyDescent="0.45">
      <c r="A2" s="3" t="str">
        <f>'Property Information'!A2:A3</f>
        <v>City, State, and Zip Code</v>
      </c>
    </row>
    <row r="4" spans="1:6" s="3" customFormat="1" x14ac:dyDescent="0.45">
      <c r="A4" s="3" t="s">
        <v>10</v>
      </c>
      <c r="B4" s="3" t="s">
        <v>11</v>
      </c>
      <c r="C4" s="3" t="s">
        <v>131</v>
      </c>
      <c r="D4" s="3" t="s">
        <v>134</v>
      </c>
      <c r="E4" s="3" t="s">
        <v>64</v>
      </c>
    </row>
    <row r="5" spans="1:6" x14ac:dyDescent="0.45">
      <c r="A5" s="79" t="s">
        <v>81</v>
      </c>
      <c r="B5" s="98">
        <v>4000</v>
      </c>
      <c r="C5" t="s">
        <v>132</v>
      </c>
      <c r="D5" s="59">
        <f>IF(C5="y",B5,0)</f>
        <v>4000</v>
      </c>
      <c r="E5" s="50">
        <v>8</v>
      </c>
      <c r="F5" t="s">
        <v>65</v>
      </c>
    </row>
    <row r="6" spans="1:6" x14ac:dyDescent="0.45">
      <c r="A6" s="79" t="s">
        <v>82</v>
      </c>
      <c r="B6" s="98">
        <v>4000</v>
      </c>
      <c r="C6" t="s">
        <v>132</v>
      </c>
      <c r="D6" s="59">
        <f t="shared" ref="D6:D54" si="0">IF(C6="y",B6,0)</f>
        <v>4000</v>
      </c>
    </row>
    <row r="7" spans="1:6" x14ac:dyDescent="0.45">
      <c r="A7" s="79" t="s">
        <v>83</v>
      </c>
      <c r="B7" s="98">
        <v>15000</v>
      </c>
      <c r="C7" t="s">
        <v>132</v>
      </c>
      <c r="D7" s="59">
        <f t="shared" si="0"/>
        <v>15000</v>
      </c>
    </row>
    <row r="8" spans="1:6" x14ac:dyDescent="0.45">
      <c r="A8" s="79" t="s">
        <v>84</v>
      </c>
      <c r="B8" s="98">
        <v>1500</v>
      </c>
      <c r="C8" t="s">
        <v>132</v>
      </c>
      <c r="D8" s="59">
        <f t="shared" si="0"/>
        <v>1500</v>
      </c>
    </row>
    <row r="9" spans="1:6" x14ac:dyDescent="0.45">
      <c r="A9" s="79" t="s">
        <v>85</v>
      </c>
      <c r="B9" s="98">
        <v>10000</v>
      </c>
      <c r="C9" t="s">
        <v>132</v>
      </c>
      <c r="D9" s="59">
        <f t="shared" si="0"/>
        <v>10000</v>
      </c>
    </row>
    <row r="10" spans="1:6" x14ac:dyDescent="0.45">
      <c r="A10" s="79" t="s">
        <v>86</v>
      </c>
      <c r="B10" s="98">
        <v>5000</v>
      </c>
      <c r="C10" t="s">
        <v>132</v>
      </c>
      <c r="D10" s="59">
        <f t="shared" si="0"/>
        <v>5000</v>
      </c>
    </row>
    <row r="11" spans="1:6" x14ac:dyDescent="0.45">
      <c r="A11" s="79" t="s">
        <v>87</v>
      </c>
      <c r="B11" s="98">
        <v>50000</v>
      </c>
      <c r="C11" t="s">
        <v>132</v>
      </c>
      <c r="D11" s="59">
        <f t="shared" si="0"/>
        <v>50000</v>
      </c>
    </row>
    <row r="12" spans="1:6" x14ac:dyDescent="0.45">
      <c r="A12" s="79" t="s">
        <v>88</v>
      </c>
      <c r="B12" s="98">
        <v>3500</v>
      </c>
      <c r="C12" t="s">
        <v>132</v>
      </c>
      <c r="D12" s="59">
        <f t="shared" si="0"/>
        <v>3500</v>
      </c>
    </row>
    <row r="13" spans="1:6" x14ac:dyDescent="0.45">
      <c r="A13" s="79" t="s">
        <v>89</v>
      </c>
      <c r="B13" s="98">
        <v>500</v>
      </c>
      <c r="C13" t="s">
        <v>132</v>
      </c>
      <c r="D13" s="59">
        <f t="shared" si="0"/>
        <v>500</v>
      </c>
    </row>
    <row r="14" spans="1:6" x14ac:dyDescent="0.45">
      <c r="A14" s="79" t="s">
        <v>90</v>
      </c>
      <c r="B14" s="98">
        <v>20000</v>
      </c>
      <c r="C14" t="s">
        <v>132</v>
      </c>
      <c r="D14" s="59">
        <f t="shared" si="0"/>
        <v>20000</v>
      </c>
    </row>
    <row r="15" spans="1:6" x14ac:dyDescent="0.45">
      <c r="A15" s="79" t="s">
        <v>91</v>
      </c>
      <c r="B15" s="98">
        <v>6000</v>
      </c>
      <c r="C15" t="s">
        <v>132</v>
      </c>
      <c r="D15" s="59">
        <f t="shared" si="0"/>
        <v>6000</v>
      </c>
    </row>
    <row r="16" spans="1:6" x14ac:dyDescent="0.45">
      <c r="A16" s="79" t="s">
        <v>92</v>
      </c>
      <c r="B16" s="98">
        <v>16500</v>
      </c>
      <c r="C16" t="s">
        <v>132</v>
      </c>
      <c r="D16" s="59">
        <f t="shared" si="0"/>
        <v>16500</v>
      </c>
    </row>
    <row r="17" spans="1:4" x14ac:dyDescent="0.45">
      <c r="A17" s="79" t="s">
        <v>93</v>
      </c>
      <c r="B17" s="98">
        <v>5000</v>
      </c>
      <c r="C17" t="s">
        <v>132</v>
      </c>
      <c r="D17" s="59">
        <f t="shared" si="0"/>
        <v>5000</v>
      </c>
    </row>
    <row r="18" spans="1:4" x14ac:dyDescent="0.45">
      <c r="A18" s="79" t="s">
        <v>94</v>
      </c>
      <c r="B18" s="98">
        <v>13000</v>
      </c>
      <c r="C18" t="s">
        <v>132</v>
      </c>
      <c r="D18" s="59">
        <f t="shared" si="0"/>
        <v>13000</v>
      </c>
    </row>
    <row r="19" spans="1:4" s="3" customFormat="1" x14ac:dyDescent="0.45">
      <c r="A19" s="79" t="s">
        <v>95</v>
      </c>
      <c r="B19" s="98">
        <v>15000</v>
      </c>
      <c r="C19" t="s">
        <v>132</v>
      </c>
      <c r="D19" s="59">
        <f t="shared" si="0"/>
        <v>15000</v>
      </c>
    </row>
    <row r="20" spans="1:4" x14ac:dyDescent="0.45">
      <c r="A20" s="79" t="s">
        <v>96</v>
      </c>
      <c r="B20" s="98">
        <v>10000</v>
      </c>
      <c r="C20" t="s">
        <v>132</v>
      </c>
      <c r="D20" s="59">
        <f t="shared" si="0"/>
        <v>10000</v>
      </c>
    </row>
    <row r="21" spans="1:4" x14ac:dyDescent="0.45">
      <c r="A21" s="79" t="s">
        <v>97</v>
      </c>
      <c r="B21" s="98">
        <v>8000</v>
      </c>
      <c r="C21" t="s">
        <v>132</v>
      </c>
      <c r="D21" s="59">
        <f t="shared" si="0"/>
        <v>8000</v>
      </c>
    </row>
    <row r="22" spans="1:4" x14ac:dyDescent="0.45">
      <c r="A22" s="79" t="s">
        <v>98</v>
      </c>
      <c r="B22" s="98">
        <v>5000</v>
      </c>
      <c r="C22" t="s">
        <v>132</v>
      </c>
      <c r="D22" s="59">
        <f t="shared" si="0"/>
        <v>5000</v>
      </c>
    </row>
    <row r="23" spans="1:4" x14ac:dyDescent="0.45">
      <c r="A23" s="79" t="s">
        <v>99</v>
      </c>
      <c r="B23" s="98">
        <v>2000</v>
      </c>
      <c r="C23" t="s">
        <v>132</v>
      </c>
      <c r="D23" s="59">
        <f t="shared" si="0"/>
        <v>2000</v>
      </c>
    </row>
    <row r="24" spans="1:4" x14ac:dyDescent="0.45">
      <c r="A24" s="79" t="s">
        <v>100</v>
      </c>
      <c r="B24" s="98">
        <v>4000</v>
      </c>
      <c r="C24" t="s">
        <v>132</v>
      </c>
      <c r="D24" s="59">
        <f t="shared" si="0"/>
        <v>4000</v>
      </c>
    </row>
    <row r="25" spans="1:4" x14ac:dyDescent="0.45">
      <c r="A25" s="79" t="s">
        <v>101</v>
      </c>
      <c r="B25" s="98">
        <v>1000</v>
      </c>
      <c r="C25" t="s">
        <v>132</v>
      </c>
      <c r="D25" s="59">
        <f t="shared" si="0"/>
        <v>1000</v>
      </c>
    </row>
    <row r="26" spans="1:4" x14ac:dyDescent="0.45">
      <c r="A26" s="79" t="s">
        <v>102</v>
      </c>
      <c r="B26" s="98">
        <v>2500</v>
      </c>
      <c r="C26" t="s">
        <v>132</v>
      </c>
      <c r="D26" s="59">
        <f t="shared" si="0"/>
        <v>2500</v>
      </c>
    </row>
    <row r="27" spans="1:4" x14ac:dyDescent="0.45">
      <c r="A27" s="79" t="s">
        <v>103</v>
      </c>
      <c r="B27" s="98">
        <v>16000</v>
      </c>
      <c r="C27" t="s">
        <v>132</v>
      </c>
      <c r="D27" s="59">
        <f t="shared" si="0"/>
        <v>16000</v>
      </c>
    </row>
    <row r="28" spans="1:4" x14ac:dyDescent="0.45">
      <c r="A28" s="79" t="s">
        <v>104</v>
      </c>
      <c r="B28" s="98">
        <v>3000</v>
      </c>
      <c r="C28" t="s">
        <v>132</v>
      </c>
      <c r="D28" s="59">
        <f t="shared" si="0"/>
        <v>3000</v>
      </c>
    </row>
    <row r="29" spans="1:4" x14ac:dyDescent="0.45">
      <c r="A29" s="79" t="s">
        <v>105</v>
      </c>
      <c r="B29" s="98">
        <v>0</v>
      </c>
      <c r="C29" t="s">
        <v>132</v>
      </c>
      <c r="D29" s="59">
        <f t="shared" si="0"/>
        <v>0</v>
      </c>
    </row>
    <row r="30" spans="1:4" x14ac:dyDescent="0.45">
      <c r="A30" s="79" t="s">
        <v>106</v>
      </c>
      <c r="B30" s="98">
        <v>8000</v>
      </c>
      <c r="C30" t="s">
        <v>132</v>
      </c>
      <c r="D30" s="59">
        <f t="shared" si="0"/>
        <v>8000</v>
      </c>
    </row>
    <row r="31" spans="1:4" x14ac:dyDescent="0.45">
      <c r="A31" s="79" t="s">
        <v>107</v>
      </c>
      <c r="B31" s="98">
        <v>5000</v>
      </c>
      <c r="C31" t="s">
        <v>132</v>
      </c>
      <c r="D31" s="59">
        <f t="shared" si="0"/>
        <v>5000</v>
      </c>
    </row>
    <row r="32" spans="1:4" x14ac:dyDescent="0.45">
      <c r="A32" s="79" t="s">
        <v>108</v>
      </c>
      <c r="B32" s="98">
        <v>4600</v>
      </c>
      <c r="C32" t="s">
        <v>132</v>
      </c>
      <c r="D32" s="59">
        <f t="shared" si="0"/>
        <v>4600</v>
      </c>
    </row>
    <row r="33" spans="1:4" x14ac:dyDescent="0.45">
      <c r="A33" s="79" t="s">
        <v>109</v>
      </c>
      <c r="B33" s="98">
        <v>1950</v>
      </c>
      <c r="C33" t="s">
        <v>132</v>
      </c>
      <c r="D33" s="59">
        <f t="shared" si="0"/>
        <v>1950</v>
      </c>
    </row>
    <row r="34" spans="1:4" x14ac:dyDescent="0.45">
      <c r="A34" s="79" t="s">
        <v>110</v>
      </c>
      <c r="B34" s="98">
        <v>4800</v>
      </c>
      <c r="C34" t="s">
        <v>132</v>
      </c>
      <c r="D34" s="59">
        <f t="shared" si="0"/>
        <v>4800</v>
      </c>
    </row>
    <row r="35" spans="1:4" x14ac:dyDescent="0.45">
      <c r="A35" s="79" t="s">
        <v>111</v>
      </c>
      <c r="B35" s="98">
        <v>7000</v>
      </c>
      <c r="C35" t="s">
        <v>132</v>
      </c>
      <c r="D35" s="59">
        <f t="shared" si="0"/>
        <v>7000</v>
      </c>
    </row>
    <row r="36" spans="1:4" x14ac:dyDescent="0.45">
      <c r="A36" s="79" t="s">
        <v>112</v>
      </c>
      <c r="B36" s="98">
        <v>5000</v>
      </c>
      <c r="C36" t="s">
        <v>132</v>
      </c>
      <c r="D36" s="59">
        <f t="shared" si="0"/>
        <v>5000</v>
      </c>
    </row>
    <row r="37" spans="1:4" x14ac:dyDescent="0.45">
      <c r="A37" s="79" t="s">
        <v>113</v>
      </c>
      <c r="B37" s="98">
        <v>7000</v>
      </c>
      <c r="C37" t="s">
        <v>132</v>
      </c>
      <c r="D37" s="59">
        <f t="shared" si="0"/>
        <v>7000</v>
      </c>
    </row>
    <row r="38" spans="1:4" x14ac:dyDescent="0.45">
      <c r="A38" s="79" t="s">
        <v>114</v>
      </c>
      <c r="B38" s="98">
        <v>5000</v>
      </c>
      <c r="C38" t="s">
        <v>132</v>
      </c>
      <c r="D38" s="59">
        <f t="shared" si="0"/>
        <v>5000</v>
      </c>
    </row>
    <row r="39" spans="1:4" x14ac:dyDescent="0.45">
      <c r="A39" s="79" t="s">
        <v>115</v>
      </c>
      <c r="B39" s="98">
        <v>6000</v>
      </c>
      <c r="C39" t="s">
        <v>132</v>
      </c>
      <c r="D39" s="59">
        <f t="shared" si="0"/>
        <v>6000</v>
      </c>
    </row>
    <row r="40" spans="1:4" x14ac:dyDescent="0.45">
      <c r="A40" s="79" t="s">
        <v>116</v>
      </c>
      <c r="B40" s="98">
        <v>4500</v>
      </c>
      <c r="C40" t="s">
        <v>132</v>
      </c>
      <c r="D40" s="59">
        <f t="shared" si="0"/>
        <v>4500</v>
      </c>
    </row>
    <row r="41" spans="1:4" x14ac:dyDescent="0.45">
      <c r="A41" s="79" t="s">
        <v>117</v>
      </c>
      <c r="B41" s="98">
        <v>6000</v>
      </c>
      <c r="C41" t="s">
        <v>132</v>
      </c>
      <c r="D41" s="59">
        <f t="shared" si="0"/>
        <v>6000</v>
      </c>
    </row>
    <row r="42" spans="1:4" x14ac:dyDescent="0.45">
      <c r="A42" s="79" t="s">
        <v>118</v>
      </c>
      <c r="B42" s="98">
        <v>9000</v>
      </c>
      <c r="C42" t="s">
        <v>132</v>
      </c>
      <c r="D42" s="59">
        <f t="shared" si="0"/>
        <v>9000</v>
      </c>
    </row>
    <row r="43" spans="1:4" x14ac:dyDescent="0.45">
      <c r="A43" s="79" t="s">
        <v>119</v>
      </c>
      <c r="B43" s="98">
        <v>8000</v>
      </c>
      <c r="C43" t="s">
        <v>132</v>
      </c>
      <c r="D43" s="59">
        <f t="shared" si="0"/>
        <v>8000</v>
      </c>
    </row>
    <row r="44" spans="1:4" x14ac:dyDescent="0.45">
      <c r="A44" s="79" t="s">
        <v>120</v>
      </c>
      <c r="B44" s="98">
        <v>1500</v>
      </c>
      <c r="C44" t="s">
        <v>132</v>
      </c>
      <c r="D44" s="59">
        <f t="shared" si="0"/>
        <v>1500</v>
      </c>
    </row>
    <row r="45" spans="1:4" x14ac:dyDescent="0.45">
      <c r="A45" s="79" t="s">
        <v>121</v>
      </c>
      <c r="B45" s="98">
        <v>6000</v>
      </c>
      <c r="C45" t="s">
        <v>132</v>
      </c>
      <c r="D45" s="59">
        <f t="shared" si="0"/>
        <v>6000</v>
      </c>
    </row>
    <row r="46" spans="1:4" x14ac:dyDescent="0.45">
      <c r="A46" s="79" t="s">
        <v>122</v>
      </c>
      <c r="B46" s="99">
        <v>7000</v>
      </c>
      <c r="C46" t="s">
        <v>132</v>
      </c>
      <c r="D46" s="59">
        <f t="shared" si="0"/>
        <v>7000</v>
      </c>
    </row>
    <row r="47" spans="1:4" x14ac:dyDescent="0.45">
      <c r="A47" s="79" t="s">
        <v>123</v>
      </c>
      <c r="B47" s="98">
        <v>5000</v>
      </c>
      <c r="C47" t="s">
        <v>133</v>
      </c>
      <c r="D47" s="59">
        <f t="shared" si="0"/>
        <v>0</v>
      </c>
    </row>
    <row r="48" spans="1:4" x14ac:dyDescent="0.45">
      <c r="A48" s="79" t="s">
        <v>124</v>
      </c>
      <c r="B48" s="98">
        <v>5000</v>
      </c>
      <c r="C48" t="s">
        <v>133</v>
      </c>
      <c r="D48" s="59">
        <f t="shared" si="0"/>
        <v>0</v>
      </c>
    </row>
    <row r="49" spans="1:4" x14ac:dyDescent="0.45">
      <c r="A49" s="79" t="s">
        <v>125</v>
      </c>
      <c r="B49" s="98">
        <v>2000</v>
      </c>
      <c r="C49" t="s">
        <v>132</v>
      </c>
      <c r="D49" s="59">
        <f t="shared" si="0"/>
        <v>2000</v>
      </c>
    </row>
    <row r="50" spans="1:4" x14ac:dyDescent="0.45">
      <c r="A50" s="79" t="s">
        <v>126</v>
      </c>
      <c r="B50" s="98">
        <v>2000</v>
      </c>
      <c r="C50" t="s">
        <v>132</v>
      </c>
      <c r="D50" s="59">
        <f t="shared" si="0"/>
        <v>2000</v>
      </c>
    </row>
    <row r="51" spans="1:4" x14ac:dyDescent="0.45">
      <c r="A51" s="79" t="s">
        <v>127</v>
      </c>
      <c r="B51" s="98">
        <v>2000</v>
      </c>
      <c r="C51" t="s">
        <v>132</v>
      </c>
      <c r="D51" s="59">
        <f t="shared" si="0"/>
        <v>2000</v>
      </c>
    </row>
    <row r="52" spans="1:4" x14ac:dyDescent="0.45">
      <c r="A52" s="79" t="s">
        <v>128</v>
      </c>
      <c r="B52" s="98">
        <v>700</v>
      </c>
      <c r="C52" t="s">
        <v>132</v>
      </c>
      <c r="D52" s="59">
        <f t="shared" si="0"/>
        <v>700</v>
      </c>
    </row>
    <row r="53" spans="1:4" x14ac:dyDescent="0.45">
      <c r="A53" s="79" t="s">
        <v>129</v>
      </c>
      <c r="B53" s="98">
        <v>2000</v>
      </c>
      <c r="C53" t="s">
        <v>132</v>
      </c>
      <c r="D53" s="59">
        <f t="shared" si="0"/>
        <v>2000</v>
      </c>
    </row>
    <row r="54" spans="1:4" x14ac:dyDescent="0.45">
      <c r="A54" s="3" t="s">
        <v>13</v>
      </c>
      <c r="B54" s="80">
        <v>0</v>
      </c>
      <c r="C54" t="s">
        <v>132</v>
      </c>
      <c r="D54" s="59">
        <f t="shared" si="0"/>
        <v>0</v>
      </c>
    </row>
    <row r="55" spans="1:4" x14ac:dyDescent="0.45">
      <c r="A55" s="3" t="s">
        <v>12</v>
      </c>
      <c r="B55" s="4">
        <f>SUM(B5:B54)</f>
        <v>335550</v>
      </c>
      <c r="C55" s="4"/>
      <c r="D55" s="4">
        <f t="shared" ref="D55" si="1">SUM(D5:D54)</f>
        <v>325550</v>
      </c>
    </row>
    <row r="56" spans="1:4" x14ac:dyDescent="0.45">
      <c r="A56" t="s">
        <v>59</v>
      </c>
      <c r="B56" s="1">
        <f>B55*C56</f>
        <v>33555</v>
      </c>
      <c r="C56" s="23">
        <v>0.1</v>
      </c>
    </row>
    <row r="57" spans="1:4" x14ac:dyDescent="0.45">
      <c r="A57" s="3" t="s">
        <v>60</v>
      </c>
      <c r="B57" s="6">
        <f>SUM(B55:B56)</f>
        <v>369105</v>
      </c>
      <c r="C57" s="3"/>
    </row>
    <row r="58" spans="1:4" x14ac:dyDescent="0.45">
      <c r="A58" s="3" t="s">
        <v>19</v>
      </c>
      <c r="B58" s="6">
        <f>B57/'Property Information'!B4</f>
        <v>184.55250000000001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15"/>
  <sheetViews>
    <sheetView tabSelected="1" workbookViewId="0">
      <selection activeCell="C18" sqref="C18"/>
    </sheetView>
  </sheetViews>
  <sheetFormatPr defaultRowHeight="14.25" x14ac:dyDescent="0.45"/>
  <cols>
    <col min="2" max="2" width="25.33203125" bestFit="1" customWidth="1"/>
    <col min="3" max="3" width="12.19921875" bestFit="1" customWidth="1"/>
    <col min="4" max="4" width="11.73046875" customWidth="1"/>
    <col min="5" max="5" width="29.46484375" bestFit="1" customWidth="1"/>
    <col min="6" max="6" width="12.1328125" bestFit="1" customWidth="1"/>
    <col min="8" max="8" width="12.1328125" bestFit="1" customWidth="1"/>
  </cols>
  <sheetData>
    <row r="1" spans="2:8" ht="14.65" thickBot="1" x14ac:dyDescent="0.5">
      <c r="E1" s="73"/>
      <c r="F1" s="73"/>
    </row>
    <row r="2" spans="2:8" ht="14.65" thickBot="1" x14ac:dyDescent="0.5">
      <c r="B2" s="8" t="s">
        <v>53</v>
      </c>
      <c r="C2" s="8"/>
      <c r="D2" s="71"/>
      <c r="E2" s="72" t="s">
        <v>54</v>
      </c>
      <c r="F2" s="16"/>
    </row>
    <row r="3" spans="2:8" x14ac:dyDescent="0.45">
      <c r="B3" s="7" t="s">
        <v>55</v>
      </c>
      <c r="C3" s="57">
        <v>58346</v>
      </c>
      <c r="E3" s="18" t="s">
        <v>57</v>
      </c>
      <c r="F3" s="100">
        <f>'Property Information'!B9</f>
        <v>100000</v>
      </c>
    </row>
    <row r="4" spans="2:8" x14ac:dyDescent="0.45">
      <c r="B4" s="7" t="s">
        <v>56</v>
      </c>
      <c r="C4" s="9">
        <f ca="1">Financing!C9</f>
        <v>463322.03129318019</v>
      </c>
      <c r="E4" s="10" t="s">
        <v>58</v>
      </c>
      <c r="F4" s="101">
        <f>'Construction Breakdown'!B57</f>
        <v>369105</v>
      </c>
    </row>
    <row r="5" spans="2:8" ht="42.75" x14ac:dyDescent="0.45">
      <c r="B5" s="7" t="s">
        <v>130</v>
      </c>
      <c r="C5" s="9">
        <f ca="1">'Historic Tax Credit'!D16</f>
        <v>96095.071067129116</v>
      </c>
      <c r="D5" s="115" t="s">
        <v>154</v>
      </c>
      <c r="E5" s="10" t="s">
        <v>61</v>
      </c>
      <c r="F5" s="102">
        <f>'Development Costs'!C12</f>
        <v>12000</v>
      </c>
    </row>
    <row r="6" spans="2:8" ht="18" x14ac:dyDescent="0.55000000000000004">
      <c r="B6" s="48" t="s">
        <v>12</v>
      </c>
      <c r="C6" s="49">
        <f ca="1">SUM(C3:C5)</f>
        <v>617763.10236030933</v>
      </c>
      <c r="E6" s="70" t="s">
        <v>75</v>
      </c>
      <c r="F6" s="103">
        <f ca="1">Financing!C11</f>
        <v>4633.2203129318023</v>
      </c>
    </row>
    <row r="7" spans="2:8" x14ac:dyDescent="0.45">
      <c r="E7" s="70" t="s">
        <v>76</v>
      </c>
      <c r="F7" s="104">
        <v>0</v>
      </c>
      <c r="H7" s="5"/>
    </row>
    <row r="8" spans="2:8" ht="14.65" thickBot="1" x14ac:dyDescent="0.5">
      <c r="E8" s="69" t="s">
        <v>63</v>
      </c>
      <c r="F8" s="96">
        <f ca="1">Financing!C10*'Construction Breakdown'!E5</f>
        <v>12355.254167818139</v>
      </c>
    </row>
    <row r="9" spans="2:8" ht="14.65" thickBot="1" x14ac:dyDescent="0.5">
      <c r="E9" s="69" t="s">
        <v>148</v>
      </c>
      <c r="F9" s="96"/>
    </row>
    <row r="10" spans="2:8" ht="14.65" thickBot="1" x14ac:dyDescent="0.5">
      <c r="E10" s="69" t="s">
        <v>149</v>
      </c>
      <c r="F10" s="68">
        <v>10000</v>
      </c>
    </row>
    <row r="11" spans="2:8" ht="14.65" thickBot="1" x14ac:dyDescent="0.5">
      <c r="E11" s="69" t="s">
        <v>59</v>
      </c>
      <c r="F11" s="96">
        <f ca="1">G11*SUM(F3:F8)</f>
        <v>49809.347448074994</v>
      </c>
      <c r="G11" s="114">
        <v>0.1</v>
      </c>
    </row>
    <row r="12" spans="2:8" ht="14.65" thickBot="1" x14ac:dyDescent="0.5">
      <c r="E12" s="69" t="s">
        <v>150</v>
      </c>
      <c r="F12" s="96">
        <f ca="1">'Historic Tax Credit'!E8</f>
        <v>59859.886462082082</v>
      </c>
    </row>
    <row r="13" spans="2:8" ht="18.399999999999999" thickBot="1" x14ac:dyDescent="0.6">
      <c r="E13" s="74" t="s">
        <v>12</v>
      </c>
      <c r="F13" s="75">
        <f ca="1">SUM(F3:F12)</f>
        <v>617762.70839090692</v>
      </c>
    </row>
    <row r="15" spans="2:8" x14ac:dyDescent="0.45">
      <c r="B15" s="3" t="s">
        <v>62</v>
      </c>
      <c r="C15" s="3"/>
      <c r="D15" s="3"/>
      <c r="E15" s="6">
        <f ca="1">C6-F13</f>
        <v>0.39396940241567791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66C8B-9035-45B8-BE87-C635596598FA}">
  <dimension ref="B2:C12"/>
  <sheetViews>
    <sheetView workbookViewId="0">
      <selection activeCell="C8" sqref="C8"/>
    </sheetView>
  </sheetViews>
  <sheetFormatPr defaultRowHeight="14.25" x14ac:dyDescent="0.45"/>
  <cols>
    <col min="2" max="2" width="22.1328125" bestFit="1" customWidth="1"/>
    <col min="3" max="3" width="11.86328125" bestFit="1" customWidth="1"/>
  </cols>
  <sheetData>
    <row r="2" spans="2:3" x14ac:dyDescent="0.45">
      <c r="B2" t="s">
        <v>77</v>
      </c>
      <c r="C2" s="1">
        <f>'Property Information'!B9</f>
        <v>100000</v>
      </c>
    </row>
    <row r="3" spans="2:3" x14ac:dyDescent="0.45">
      <c r="B3" t="s">
        <v>14</v>
      </c>
      <c r="C3" s="1">
        <f>'Construction Breakdown'!B57</f>
        <v>369105</v>
      </c>
    </row>
    <row r="4" spans="2:3" ht="14.65" thickBot="1" x14ac:dyDescent="0.5"/>
    <row r="5" spans="2:3" ht="14.65" thickBot="1" x14ac:dyDescent="0.5">
      <c r="B5" s="45" t="s">
        <v>79</v>
      </c>
      <c r="C5" s="46"/>
    </row>
    <row r="6" spans="2:3" x14ac:dyDescent="0.45">
      <c r="B6" s="42" t="s">
        <v>22</v>
      </c>
      <c r="C6" s="25">
        <v>5000</v>
      </c>
    </row>
    <row r="7" spans="2:3" x14ac:dyDescent="0.45">
      <c r="B7" s="10" t="s">
        <v>74</v>
      </c>
      <c r="C7" s="25">
        <v>0</v>
      </c>
    </row>
    <row r="8" spans="2:3" x14ac:dyDescent="0.45">
      <c r="B8" s="33" t="s">
        <v>25</v>
      </c>
      <c r="C8" s="25">
        <v>3000</v>
      </c>
    </row>
    <row r="9" spans="2:3" x14ac:dyDescent="0.45">
      <c r="B9" s="33" t="s">
        <v>50</v>
      </c>
      <c r="C9" s="25">
        <v>2000</v>
      </c>
    </row>
    <row r="10" spans="2:3" x14ac:dyDescent="0.45">
      <c r="B10" s="10" t="s">
        <v>51</v>
      </c>
      <c r="C10" s="32">
        <v>2000</v>
      </c>
    </row>
    <row r="11" spans="2:3" ht="14.65" thickBot="1" x14ac:dyDescent="0.5">
      <c r="B11" s="17" t="s">
        <v>52</v>
      </c>
      <c r="C11" s="47"/>
    </row>
    <row r="12" spans="2:3" ht="14.65" thickBot="1" x14ac:dyDescent="0.5">
      <c r="B12" s="43" t="s">
        <v>12</v>
      </c>
      <c r="C12" s="44">
        <f>SUM(C6:C11)</f>
        <v>12000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topLeftCell="A2" zoomScaleNormal="100" workbookViewId="0">
      <selection activeCell="C17" sqref="C17"/>
    </sheetView>
  </sheetViews>
  <sheetFormatPr defaultRowHeight="14.25" x14ac:dyDescent="0.45"/>
  <cols>
    <col min="2" max="2" width="24.1328125" customWidth="1"/>
    <col min="3" max="3" width="12.19921875" customWidth="1"/>
    <col min="5" max="5" width="39.86328125" bestFit="1" customWidth="1"/>
    <col min="6" max="6" width="12.53125" customWidth="1"/>
    <col min="8" max="8" width="21.33203125" customWidth="1"/>
    <col min="9" max="9" width="11.1328125" customWidth="1"/>
  </cols>
  <sheetData>
    <row r="1" spans="1:6" x14ac:dyDescent="0.45">
      <c r="A1" s="3" t="str">
        <f>'Property Information'!A1</f>
        <v>Street Address</v>
      </c>
    </row>
    <row r="2" spans="1:6" x14ac:dyDescent="0.45">
      <c r="A2" s="3" t="str">
        <f>'Property Information'!A2</f>
        <v>City, State, and Zip Code</v>
      </c>
    </row>
    <row r="3" spans="1:6" ht="14.65" thickBot="1" x14ac:dyDescent="0.5"/>
    <row r="4" spans="1:6" ht="14.65" thickBot="1" x14ac:dyDescent="0.5">
      <c r="B4" s="109" t="s">
        <v>26</v>
      </c>
      <c r="C4" s="110"/>
      <c r="E4" s="13" t="s">
        <v>67</v>
      </c>
      <c r="F4" s="14"/>
    </row>
    <row r="5" spans="1:6" x14ac:dyDescent="0.45">
      <c r="B5" s="12" t="s">
        <v>20</v>
      </c>
      <c r="C5" s="51">
        <f>'Property Information'!B12</f>
        <v>700000</v>
      </c>
      <c r="E5" s="12" t="s">
        <v>15</v>
      </c>
      <c r="F5" s="26">
        <v>0.04</v>
      </c>
    </row>
    <row r="6" spans="1:6" x14ac:dyDescent="0.45">
      <c r="B6" s="10" t="s">
        <v>21</v>
      </c>
      <c r="C6" s="39">
        <f>'Property Information'!B13</f>
        <v>700000</v>
      </c>
      <c r="E6" s="10" t="s">
        <v>66</v>
      </c>
      <c r="F6" s="27">
        <v>0.75</v>
      </c>
    </row>
    <row r="7" spans="1:6" ht="14.65" thickBot="1" x14ac:dyDescent="0.5">
      <c r="E7" s="10" t="s">
        <v>69</v>
      </c>
      <c r="F7" s="28">
        <v>36</v>
      </c>
    </row>
    <row r="8" spans="1:6" ht="14.65" thickBot="1" x14ac:dyDescent="0.5">
      <c r="B8" s="13" t="s">
        <v>28</v>
      </c>
      <c r="C8" s="20"/>
      <c r="E8" s="11" t="s">
        <v>17</v>
      </c>
      <c r="F8" s="15" t="s">
        <v>18</v>
      </c>
    </row>
    <row r="9" spans="1:6" x14ac:dyDescent="0.45">
      <c r="B9" s="18" t="s">
        <v>29</v>
      </c>
      <c r="C9" s="52">
        <f ca="1">F6*'Sources &amp; Uses'!F13</f>
        <v>463322.03129318019</v>
      </c>
    </row>
    <row r="10" spans="1:6" x14ac:dyDescent="0.45">
      <c r="B10" s="63" t="s">
        <v>30</v>
      </c>
      <c r="C10" s="106">
        <f ca="1">(C9*F5)/12</f>
        <v>1544.4067709772673</v>
      </c>
    </row>
    <row r="11" spans="1:6" ht="14.65" thickBot="1" x14ac:dyDescent="0.5">
      <c r="B11" s="67" t="s">
        <v>78</v>
      </c>
      <c r="C11" s="76">
        <f ca="1">C9*0.01</f>
        <v>4633.2203129318023</v>
      </c>
      <c r="D11" s="63"/>
    </row>
    <row r="12" spans="1:6" ht="14.65" thickBot="1" x14ac:dyDescent="0.5">
      <c r="E12" s="13" t="s">
        <v>27</v>
      </c>
      <c r="F12" s="14"/>
    </row>
    <row r="13" spans="1:6" ht="14.65" thickBot="1" x14ac:dyDescent="0.5">
      <c r="E13" s="12" t="s">
        <v>15</v>
      </c>
      <c r="F13" s="26">
        <v>0.05</v>
      </c>
    </row>
    <row r="14" spans="1:6" ht="14.65" thickBot="1" x14ac:dyDescent="0.5">
      <c r="B14" s="13" t="s">
        <v>23</v>
      </c>
      <c r="C14" s="16"/>
      <c r="E14" s="10" t="s">
        <v>80</v>
      </c>
      <c r="F14" s="27">
        <v>0.75</v>
      </c>
    </row>
    <row r="15" spans="1:6" ht="14.65" thickBot="1" x14ac:dyDescent="0.5">
      <c r="B15" s="18" t="s">
        <v>68</v>
      </c>
      <c r="C15" s="52">
        <f>C6*F14</f>
        <v>525000</v>
      </c>
      <c r="E15" s="11" t="s">
        <v>16</v>
      </c>
      <c r="F15" s="29">
        <v>30</v>
      </c>
    </row>
    <row r="16" spans="1:6" x14ac:dyDescent="0.45">
      <c r="B16" s="10" t="s">
        <v>70</v>
      </c>
      <c r="C16" s="53">
        <f>C6*F14</f>
        <v>525000</v>
      </c>
    </row>
    <row r="17" spans="1:4" x14ac:dyDescent="0.45">
      <c r="B17" s="10" t="s">
        <v>23</v>
      </c>
      <c r="C17" s="64">
        <f>PMT(F16/12,F15*12,-C16)</f>
        <v>1458.3333333333333</v>
      </c>
    </row>
    <row r="18" spans="1:4" ht="14.65" thickBot="1" x14ac:dyDescent="0.5">
      <c r="A18" s="36"/>
      <c r="B18" s="66" t="s">
        <v>78</v>
      </c>
      <c r="C18" s="77">
        <f>C16*0.01</f>
        <v>5250</v>
      </c>
      <c r="D18" s="63"/>
    </row>
    <row r="19" spans="1:4" x14ac:dyDescent="0.45">
      <c r="C19" s="65"/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F3F96-C434-4546-BC30-D02133A1A108}">
  <dimension ref="B1:F17"/>
  <sheetViews>
    <sheetView workbookViewId="0">
      <selection activeCell="E5" sqref="E5"/>
    </sheetView>
  </sheetViews>
  <sheetFormatPr defaultRowHeight="14.25" x14ac:dyDescent="0.45"/>
  <cols>
    <col min="2" max="2" width="21.59765625" customWidth="1"/>
    <col min="4" max="5" width="11.86328125" bestFit="1" customWidth="1"/>
  </cols>
  <sheetData>
    <row r="1" spans="2:6" ht="14.65" thickBot="1" x14ac:dyDescent="0.5"/>
    <row r="2" spans="2:6" x14ac:dyDescent="0.45">
      <c r="B2" s="111" t="s">
        <v>147</v>
      </c>
      <c r="C2" s="112"/>
      <c r="D2" s="112"/>
      <c r="E2" s="113"/>
    </row>
    <row r="3" spans="2:6" x14ac:dyDescent="0.45">
      <c r="B3" s="7" t="s">
        <v>135</v>
      </c>
      <c r="C3" s="83"/>
      <c r="D3" s="7" t="s">
        <v>12</v>
      </c>
      <c r="E3" s="7" t="s">
        <v>134</v>
      </c>
    </row>
    <row r="4" spans="2:6" x14ac:dyDescent="0.45">
      <c r="B4" s="7" t="s">
        <v>58</v>
      </c>
      <c r="C4" s="83"/>
      <c r="D4" s="90">
        <f>'Construction Breakdown'!B55</f>
        <v>335550</v>
      </c>
      <c r="E4" s="91">
        <f>'Construction Breakdown'!B57</f>
        <v>369105</v>
      </c>
    </row>
    <row r="5" spans="2:6" x14ac:dyDescent="0.45">
      <c r="B5" s="7" t="s">
        <v>136</v>
      </c>
      <c r="C5" s="82"/>
      <c r="D5" s="90">
        <f ca="1">SUM('Sources &amp; Uses'!F5:F11)</f>
        <v>88797.82192882488</v>
      </c>
      <c r="E5" s="90">
        <f ca="1">SUM('Sources &amp; Uses'!F5:F11)*90%</f>
        <v>79918.039735942395</v>
      </c>
    </row>
    <row r="6" spans="2:6" x14ac:dyDescent="0.45">
      <c r="B6" s="82" t="s">
        <v>59</v>
      </c>
      <c r="C6" s="82"/>
      <c r="D6" s="95">
        <f>'Construction Breakdown'!B56</f>
        <v>33555</v>
      </c>
      <c r="E6" s="95">
        <f ca="1">'Sources &amp; Uses'!F11</f>
        <v>49809.347448074994</v>
      </c>
    </row>
    <row r="7" spans="2:6" x14ac:dyDescent="0.45">
      <c r="B7" s="7"/>
      <c r="C7" s="83"/>
      <c r="D7" s="90"/>
      <c r="E7" s="91"/>
    </row>
    <row r="8" spans="2:6" x14ac:dyDescent="0.45">
      <c r="B8" s="7" t="s">
        <v>137</v>
      </c>
      <c r="C8" s="83"/>
      <c r="D8" s="90">
        <f ca="1">E8</f>
        <v>59859.886462081995</v>
      </c>
      <c r="E8" s="91">
        <f ca="1">F8*SUM(E4:E6)</f>
        <v>59859.886462082082</v>
      </c>
      <c r="F8" s="81">
        <v>0.12</v>
      </c>
    </row>
    <row r="9" spans="2:6" x14ac:dyDescent="0.45">
      <c r="B9" s="7" t="s">
        <v>138</v>
      </c>
      <c r="C9" s="7"/>
      <c r="D9" s="90">
        <f ca="1">SUM(D4:D8)</f>
        <v>517762.70839090686</v>
      </c>
      <c r="E9" s="107">
        <f ca="1">SUM(E4:E8)</f>
        <v>558692.27364609949</v>
      </c>
    </row>
    <row r="10" spans="2:6" x14ac:dyDescent="0.45">
      <c r="B10" s="84"/>
      <c r="C10" s="84"/>
      <c r="D10" s="84"/>
      <c r="E10" s="84"/>
    </row>
    <row r="11" spans="2:6" x14ac:dyDescent="0.45">
      <c r="B11" s="89" t="s">
        <v>139</v>
      </c>
      <c r="C11" s="86"/>
      <c r="D11" s="85" t="s">
        <v>140</v>
      </c>
      <c r="E11" s="86" t="s">
        <v>141</v>
      </c>
    </row>
    <row r="12" spans="2:6" x14ac:dyDescent="0.45">
      <c r="B12" s="85" t="s">
        <v>142</v>
      </c>
      <c r="C12" s="86"/>
      <c r="D12" s="87">
        <v>0.2</v>
      </c>
      <c r="E12" s="88">
        <v>0.2</v>
      </c>
    </row>
    <row r="13" spans="2:6" x14ac:dyDescent="0.45">
      <c r="B13" s="85" t="s">
        <v>143</v>
      </c>
      <c r="C13" s="86"/>
      <c r="D13" s="108">
        <f ca="1">E9*D12</f>
        <v>111738.4547292199</v>
      </c>
      <c r="E13" s="108">
        <f ca="1">E9*E12</f>
        <v>111738.4547292199</v>
      </c>
    </row>
    <row r="14" spans="2:6" x14ac:dyDescent="0.45">
      <c r="B14" s="82" t="s">
        <v>144</v>
      </c>
      <c r="C14" s="82"/>
      <c r="D14" s="92">
        <v>1</v>
      </c>
      <c r="E14" s="92">
        <v>0.99990000000000001</v>
      </c>
    </row>
    <row r="15" spans="2:6" x14ac:dyDescent="0.45">
      <c r="B15" s="7" t="s">
        <v>145</v>
      </c>
      <c r="C15" s="83"/>
      <c r="D15" s="93">
        <v>0.86</v>
      </c>
      <c r="E15" s="94">
        <v>0.77</v>
      </c>
    </row>
    <row r="16" spans="2:6" x14ac:dyDescent="0.45">
      <c r="B16" s="7" t="s">
        <v>146</v>
      </c>
      <c r="C16" s="83"/>
      <c r="D16" s="90">
        <f ca="1">D13*D14*D15</f>
        <v>96095.071067129116</v>
      </c>
      <c r="E16" s="91">
        <f ca="1">E13*E14*E15</f>
        <v>86030.006280485177</v>
      </c>
    </row>
    <row r="17" spans="2:5" x14ac:dyDescent="0.45">
      <c r="B17" s="7"/>
      <c r="C17" s="7"/>
      <c r="D17" s="7"/>
      <c r="E17" s="7"/>
    </row>
  </sheetData>
  <mergeCells count="1">
    <mergeCell ref="B2:E2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1"/>
  <sheetViews>
    <sheetView zoomScale="90" zoomScaleNormal="90" workbookViewId="0">
      <selection activeCell="G21" sqref="G21"/>
    </sheetView>
  </sheetViews>
  <sheetFormatPr defaultRowHeight="14.25" x14ac:dyDescent="0.45"/>
  <cols>
    <col min="2" max="2" width="24" customWidth="1"/>
    <col min="3" max="3" width="10.1328125" bestFit="1" customWidth="1"/>
    <col min="4" max="4" width="8.796875" bestFit="1" customWidth="1"/>
    <col min="5" max="5" width="24.796875" customWidth="1"/>
    <col min="6" max="6" width="4.1328125" customWidth="1"/>
    <col min="7" max="7" width="14.86328125" bestFit="1" customWidth="1"/>
    <col min="9" max="9" width="12.19921875" bestFit="1" customWidth="1"/>
  </cols>
  <sheetData>
    <row r="1" spans="1:7" x14ac:dyDescent="0.45">
      <c r="A1" s="3" t="str">
        <f>'Property Information'!A1</f>
        <v>Street Address</v>
      </c>
      <c r="E1" t="s">
        <v>41</v>
      </c>
      <c r="G1" s="59">
        <f>C7*12</f>
        <v>48000</v>
      </c>
    </row>
    <row r="2" spans="1:7" x14ac:dyDescent="0.45">
      <c r="A2" s="3" t="str">
        <f>'Property Information'!A2</f>
        <v>City, State, and Zip Code</v>
      </c>
      <c r="E2" t="s">
        <v>42</v>
      </c>
      <c r="F2" s="23">
        <v>0.08</v>
      </c>
      <c r="G2" s="59">
        <f>G1*-F2</f>
        <v>-3840</v>
      </c>
    </row>
    <row r="3" spans="1:7" ht="14.65" thickBot="1" x14ac:dyDescent="0.5">
      <c r="E3" s="3" t="s">
        <v>43</v>
      </c>
      <c r="F3" s="3"/>
      <c r="G3" s="105">
        <f>G1+G2</f>
        <v>44160</v>
      </c>
    </row>
    <row r="4" spans="1:7" ht="14.65" thickBot="1" x14ac:dyDescent="0.5">
      <c r="B4" s="19" t="s">
        <v>31</v>
      </c>
      <c r="C4" s="14"/>
    </row>
    <row r="5" spans="1:7" x14ac:dyDescent="0.45">
      <c r="B5" s="12" t="s">
        <v>151</v>
      </c>
      <c r="C5" s="21">
        <v>2000</v>
      </c>
      <c r="E5" t="s">
        <v>44</v>
      </c>
    </row>
    <row r="6" spans="1:7" x14ac:dyDescent="0.45">
      <c r="B6" s="10" t="s">
        <v>152</v>
      </c>
      <c r="C6" s="22">
        <v>2000</v>
      </c>
      <c r="E6" t="str">
        <f t="shared" ref="E6:E11" si="0">B10</f>
        <v>Repairs &amp; Maintenance</v>
      </c>
      <c r="G6" s="2">
        <f t="shared" ref="G6:G11" si="1">C10</f>
        <v>2000</v>
      </c>
    </row>
    <row r="7" spans="1:7" ht="14.65" thickBot="1" x14ac:dyDescent="0.5">
      <c r="B7" s="11" t="s">
        <v>12</v>
      </c>
      <c r="C7" s="15">
        <f>SUM(C5:C6)</f>
        <v>4000</v>
      </c>
      <c r="E7" t="str">
        <f t="shared" si="0"/>
        <v>Water</v>
      </c>
      <c r="G7" s="2">
        <v>0</v>
      </c>
    </row>
    <row r="8" spans="1:7" ht="14.65" thickBot="1" x14ac:dyDescent="0.5">
      <c r="E8" t="str">
        <f t="shared" si="0"/>
        <v>Gas</v>
      </c>
      <c r="G8" s="2">
        <f t="shared" si="1"/>
        <v>0</v>
      </c>
    </row>
    <row r="9" spans="1:7" ht="14.65" thickBot="1" x14ac:dyDescent="0.5">
      <c r="B9" s="13" t="s">
        <v>38</v>
      </c>
      <c r="C9" s="16" t="s">
        <v>39</v>
      </c>
      <c r="E9" t="str">
        <f t="shared" si="0"/>
        <v>Electric</v>
      </c>
      <c r="G9" s="2">
        <f t="shared" si="1"/>
        <v>0</v>
      </c>
    </row>
    <row r="10" spans="1:7" x14ac:dyDescent="0.45">
      <c r="B10" s="12" t="s">
        <v>32</v>
      </c>
      <c r="C10" s="32">
        <v>2000</v>
      </c>
      <c r="E10" t="str">
        <f t="shared" si="0"/>
        <v>Lawn Care</v>
      </c>
      <c r="G10" s="2">
        <f t="shared" si="1"/>
        <v>1000</v>
      </c>
    </row>
    <row r="11" spans="1:7" x14ac:dyDescent="0.45">
      <c r="B11" s="10" t="s">
        <v>33</v>
      </c>
      <c r="C11" s="25">
        <v>0</v>
      </c>
      <c r="E11" t="str">
        <f t="shared" si="0"/>
        <v>Extermination</v>
      </c>
      <c r="G11" s="2">
        <f t="shared" si="1"/>
        <v>500</v>
      </c>
    </row>
    <row r="12" spans="1:7" x14ac:dyDescent="0.45">
      <c r="B12" s="10" t="s">
        <v>34</v>
      </c>
      <c r="C12" s="25"/>
      <c r="E12" t="str">
        <f t="shared" ref="E12:E14" si="2">B16</f>
        <v>Hazard Insurance</v>
      </c>
      <c r="G12" s="2">
        <f t="shared" ref="G12:G14" si="3">C16</f>
        <v>2000</v>
      </c>
    </row>
    <row r="13" spans="1:7" x14ac:dyDescent="0.45">
      <c r="B13" s="10" t="s">
        <v>35</v>
      </c>
      <c r="C13" s="25">
        <v>0</v>
      </c>
      <c r="E13" t="str">
        <f t="shared" si="2"/>
        <v>Flood Insurance</v>
      </c>
      <c r="G13" s="2">
        <f t="shared" si="3"/>
        <v>2000</v>
      </c>
    </row>
    <row r="14" spans="1:7" x14ac:dyDescent="0.45">
      <c r="B14" s="10" t="s">
        <v>36</v>
      </c>
      <c r="C14" s="25">
        <v>1000</v>
      </c>
      <c r="E14" t="str">
        <f t="shared" si="2"/>
        <v>Property Taxes</v>
      </c>
      <c r="G14" s="2">
        <f t="shared" si="3"/>
        <v>5000</v>
      </c>
    </row>
    <row r="15" spans="1:7" x14ac:dyDescent="0.45">
      <c r="A15" s="36"/>
      <c r="B15" s="34" t="s">
        <v>37</v>
      </c>
      <c r="C15" s="25">
        <v>500</v>
      </c>
      <c r="E15" t="str">
        <f t="shared" ref="E15" si="4">B19</f>
        <v>Capital Expense Reserve</v>
      </c>
      <c r="G15" s="2">
        <f t="shared" ref="G15" si="5">C19</f>
        <v>2000</v>
      </c>
    </row>
    <row r="16" spans="1:7" x14ac:dyDescent="0.45">
      <c r="A16" s="36"/>
      <c r="B16" s="35" t="s">
        <v>24</v>
      </c>
      <c r="C16" s="25">
        <v>2000</v>
      </c>
      <c r="E16" s="3" t="s">
        <v>45</v>
      </c>
      <c r="F16" s="3"/>
      <c r="G16" s="24">
        <f>SUM(G6:G15)</f>
        <v>14500</v>
      </c>
    </row>
    <row r="17" spans="1:9" x14ac:dyDescent="0.45">
      <c r="A17" s="36"/>
      <c r="B17" s="35" t="s">
        <v>25</v>
      </c>
      <c r="C17" s="25">
        <v>2000</v>
      </c>
      <c r="H17" s="5"/>
      <c r="I17" s="2"/>
    </row>
    <row r="18" spans="1:9" ht="18" x14ac:dyDescent="0.55000000000000004">
      <c r="A18" s="36"/>
      <c r="B18" s="56" t="s">
        <v>49</v>
      </c>
      <c r="C18" s="25">
        <v>5000</v>
      </c>
      <c r="E18" s="41" t="s">
        <v>46</v>
      </c>
      <c r="F18" s="3"/>
      <c r="G18" s="40">
        <f>G3-G16</f>
        <v>29660</v>
      </c>
      <c r="H18" s="5"/>
      <c r="I18" s="5"/>
    </row>
    <row r="19" spans="1:9" ht="14.65" thickBot="1" x14ac:dyDescent="0.5">
      <c r="A19" s="36"/>
      <c r="B19" s="54" t="s">
        <v>71</v>
      </c>
      <c r="C19" s="55">
        <v>2000</v>
      </c>
      <c r="E19" t="s">
        <v>47</v>
      </c>
      <c r="G19" s="1">
        <f>Financing!C17*12</f>
        <v>17500</v>
      </c>
    </row>
    <row r="20" spans="1:9" ht="14.65" thickBot="1" x14ac:dyDescent="0.5">
      <c r="B20" s="37" t="s">
        <v>40</v>
      </c>
      <c r="C20" s="38">
        <f>SUM(C10:C19)</f>
        <v>14500</v>
      </c>
      <c r="I20" s="5"/>
    </row>
    <row r="21" spans="1:9" ht="18" x14ac:dyDescent="0.55000000000000004">
      <c r="B21" s="3"/>
      <c r="E21" s="41" t="s">
        <v>48</v>
      </c>
      <c r="F21" s="3"/>
      <c r="G21" s="40">
        <f>G18-G19</f>
        <v>12160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Property Information</vt:lpstr>
      <vt:lpstr>Construction Breakdown</vt:lpstr>
      <vt:lpstr>Sources &amp; Uses</vt:lpstr>
      <vt:lpstr>Development Costs</vt:lpstr>
      <vt:lpstr>Financing</vt:lpstr>
      <vt:lpstr>Historic Tax Credit</vt:lpstr>
      <vt:lpstr>Income &amp;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Curtis Doucette</dc:creator>
  <cp:lastModifiedBy>Gina LaMacchia</cp:lastModifiedBy>
  <dcterms:created xsi:type="dcterms:W3CDTF">2017-05-13T17:48:40Z</dcterms:created>
  <dcterms:modified xsi:type="dcterms:W3CDTF">2020-10-08T19:53:18Z</dcterms:modified>
</cp:coreProperties>
</file>